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I31" i="2" l="1"/>
  <c r="I29" i="2"/>
  <c r="AA41" i="1"/>
  <c r="AA38" i="1"/>
  <c r="K55" i="1"/>
  <c r="K54" i="1"/>
  <c r="H31" i="2"/>
  <c r="H29" i="2"/>
  <c r="K41" i="1"/>
  <c r="AA62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AA55" i="1"/>
  <c r="AA54" i="1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I13" i="2" s="1"/>
  <c r="H20" i="2"/>
  <c r="I16" i="2"/>
  <c r="H16" i="2"/>
  <c r="H13" i="2" s="1"/>
  <c r="G13" i="2" l="1"/>
  <c r="G20" i="2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AA52" i="1" s="1"/>
  <c r="AA51" i="1" s="1"/>
  <c r="K13" i="3"/>
  <c r="K3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AA61" i="1"/>
  <c r="K12" i="3"/>
  <c r="K15" i="3" s="1"/>
  <c r="K27" i="3" s="1"/>
  <c r="F29" i="3"/>
  <c r="G33" i="3"/>
  <c r="G25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<sst xmlns="http://schemas.openxmlformats.org/spreadsheetml/2006/main" count="1340" uniqueCount="572">
  <si>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</si>
  <si>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</si>
  <si>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</si>
  <si>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</si>
  <si>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</si>
  <si>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</si>
  <si>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</si>
  <si>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</si>
  <si>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</si>
  <si>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</si>
  <si>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</si>
  <si>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</si>
  <si>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</si>
  <si>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</si>
  <si>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</si>
  <si>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</si>
  <si>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</si>
  <si>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</si>
  <si>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</si>
  <si>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</si>
  <si>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</si>
  <si>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</si>
  <si>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</si>
  <si>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</si>
  <si>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</si>
  <si>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</si>
  <si>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</si>
  <si>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</si>
  <si>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</si>
  <si>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</si>
  <si>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</si>
  <si>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</si>
  <si>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</si>
  <si>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</si>
  <si>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</si>
  <si>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</si>
  <si>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</si>
  <si>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</si>
  <si>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</si>
  <si>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</si>
  <si>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</si>
  <si>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</si>
  <si>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</si>
  <si>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</si>
  <si>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</si>
  <si>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</si>
  <si>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</si>
  <si>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</si>
  <si>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</si>
  <si>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</si>
  <si>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</si>
  <si>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</si>
  <si>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</si>
  <si>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</si>
  <si>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</si>
  <si>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</si>
  <si>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</si>
  <si>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</si>
  <si>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</si>
  <si>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</si>
  <si>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</si>
  <si>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</si>
  <si>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</si>
  <si>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</si>
  <si>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</si>
  <si>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</si>
  <si>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</si>
  <si>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</si>
  <si>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</si>
  <si>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</si>
  <si>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</si>
  <si>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</si>
  <si>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</si>
  <si>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</si>
  <si>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</si>
  <si>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</si>
  <si>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</si>
  <si>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</si>
  <si>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</si>
  <si>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</si>
  <si>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</si>
  <si>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</si>
  <si>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</si>
  <si>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</si>
  <si>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</si>
  <si>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</si>
  <si>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</si>
  <si>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</si>
  <si>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</si>
  <si>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</si>
  <si>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</si>
  <si>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</si>
  <si>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</si>
  <si>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</si>
  <si>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</si>
  <si>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</si>
  <si>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</si>
  <si>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</si>
  <si>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</si>
  <si>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</si>
  <si>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</si>
  <si>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</si>
  <si>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</si>
  <si>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</si>
  <si>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</si>
  <si>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</si>
  <si>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</si>
  <si>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</si>
  <si>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</si>
  <si>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</si>
  <si>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</si>
  <si>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</si>
  <si>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</si>
  <si>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</si>
  <si>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</si>
  <si>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</si>
  <si>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</si>
  <si>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</si>
  <si>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</si>
  <si>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</si>
  <si>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</si>
  <si>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</si>
  <si>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</si>
  <si>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</si>
  <si>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</si>
  <si>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</si>
  <si>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</si>
  <si>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</si>
  <si>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</si>
  <si>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</si>
  <si>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</si>
  <si>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</si>
  <si>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</si>
  <si>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</si>
  <si>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</si>
  <si>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</si>
  <si>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</si>
  <si>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</si>
  <si>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</si>
  <si>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</si>
  <si>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</si>
  <si>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</si>
  <si>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</si>
  <si>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</si>
  <si>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</si>
  <si>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</si>
  <si>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</si>
  <si>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</si>
  <si>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</si>
  <si>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</si>
  <si>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</si>
  <si>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</si>
  <si>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</si>
  <si>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</si>
  <si>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</si>
  <si>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</si>
  <si>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</si>
  <si>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</si>
  <si>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</si>
  <si>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</si>
  <si>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</si>
  <si>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</si>
  <si>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</si>
  <si>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</si>
  <si>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</si>
  <si>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</si>
  <si>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</si>
  <si>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</si>
  <si>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</si>
  <si>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</si>
  <si>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</si>
  <si>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</si>
  <si>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</si>
  <si>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</si>
  <si>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</si>
  <si>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</si>
  <si>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</si>
  <si>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</si>
  <si>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</si>
  <si>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</si>
  <si>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</si>
  <si>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</si>
  <si>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</si>
  <si>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</si>
  <si>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</si>
  <si>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</si>
  <si>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</si>
  <si>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</si>
  <si>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</si>
  <si>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</si>
  <si>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</si>
  <si>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</si>
  <si>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</si>
  <si>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</si>
  <si>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</si>
  <si>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</si>
  <si>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</si>
  <si>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</si>
  <si>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</si>
  <si>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</si>
  <si>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</si>
  <si>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</si>
  <si>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</si>
  <si>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</si>
  <si>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</si>
  <si>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</si>
  <si>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</si>
  <si>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</si>
  <si>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</si>
  <si>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</si>
  <si>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</si>
  <si>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</si>
  <si>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</si>
  <si>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</si>
  <si>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</si>
  <si>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</si>
  <si>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</si>
  <si>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</si>
  <si>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</si>
  <si>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</si>
  <si>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</si>
  <si>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</si>
  <si>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</si>
  <si>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</si>
  <si>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</si>
  <si>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</si>
  <si>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</si>
  <si>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</si>
  <si>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</si>
  <si>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</si>
  <si>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</si>
  <si>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</si>
  <si>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</si>
  <si>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</si>
  <si>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</si>
  <si>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</si>
  <si>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</si>
  <si>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</si>
  <si>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</si>
  <si>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</si>
  <si>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</si>
  <si>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</si>
  <si>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</si>
  <si>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</si>
  <si>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</si>
  <si>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</si>
  <si>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</si>
  <si>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</si>
  <si>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</si>
  <si>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</si>
  <si>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</si>
  <si>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</si>
  <si>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</si>
  <si>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</si>
  <si>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</si>
  <si>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</si>
  <si>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</si>
  <si>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</si>
  <si>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</si>
  <si>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</si>
  <si>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</si>
  <si>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</si>
  <si>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</si>
  <si>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</si>
  <si>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</si>
  <si>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</si>
  <si>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</si>
  <si>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</si>
  <si>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</si>
  <si>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</si>
  <si>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</si>
  <si>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</si>
  <si>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</si>
  <si>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</si>
  <si>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</si>
  <si>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</si>
  <si>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</si>
  <si>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</si>
  <si>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</si>
  <si>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</si>
  <si>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</si>
  <si>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</si>
  <si>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</si>
  <si>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</si>
  <si>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</si>
  <si>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</si>
  <si>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</si>
  <si>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</si>
  <si>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</si>
  <si>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</si>
  <si>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</si>
  <si>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</si>
  <si>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</si>
  <si>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</si>
  <si>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</si>
  <si>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</si>
  <si>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</si>
  <si>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</si>
  <si>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</si>
  <si>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</si>
  <si>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</si>
  <si>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</si>
  <si>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</si>
  <si>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</si>
  <si>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</si>
  <si>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</si>
  <si>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</si>
  <si>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</si>
  <si>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</si>
  <si>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</si>
  <si>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</si>
  <si>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</si>
  <si>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</si>
  <si>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</si>
  <si>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</si>
  <si>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</si>
  <si>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</si>
  <si>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</si>
  <si>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</si>
  <si>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</si>
  <si>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</si>
  <si>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</si>
  <si>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</si>
  <si>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</si>
  <si>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</si>
  <si>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</si>
  <si>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</si>
  <si>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</si>
  <si>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</si>
  <si>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</si>
  <si>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</si>
  <si>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</si>
  <si>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</si>
  <si>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</si>
  <si>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</si>
  <si>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</si>
  <si>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</si>
  <si>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</si>
  <si>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</si>
  <si>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</si>
  <si>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</si>
  <si>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</si>
  <si>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</si>
  <si>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</si>
  <si>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</si>
  <si>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</si>
  <si>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</si>
  <si>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</si>
  <si>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</si>
  <si>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</si>
  <si>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</si>
  <si>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</si>
  <si>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</si>
  <si>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</si>
  <si>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</si>
  <si>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</si>
  <si>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</si>
  <si>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</si>
  <si>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</si>
  <si>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</si>
  <si>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</si>
  <si>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</si>
  <si>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</si>
  <si>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</si>
  <si>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</si>
  <si>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</si>
  <si>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</si>
  <si>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</si>
  <si>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</si>
  <si>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</si>
  <si>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</si>
  <si>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</si>
  <si>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</si>
  <si>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</si>
  <si>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</si>
  <si>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</si>
  <si>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</si>
  <si>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</si>
  <si>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</si>
  <si>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</si>
  <si>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</si>
  <si>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</si>
  <si>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</si>
  <si>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</si>
  <si>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</si>
  <si>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</si>
  <si>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</si>
  <si>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</si>
  <si>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</si>
  <si>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</si>
  <si>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</si>
  <si>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</si>
  <si>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</si>
  <si>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</si>
  <si>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</si>
  <si>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</si>
  <si>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</si>
  <si>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</si>
  <si>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</si>
  <si>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</si>
  <si>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</si>
  <si>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</si>
  <si>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</si>
  <si>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</si>
  <si>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</si>
  <si>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</si>
  <si>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</si>
  <si>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</si>
  <si>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</si>
  <si>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</si>
  <si>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</si>
  <si>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</si>
  <si>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</si>
  <si>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</si>
  <si>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</si>
  <si>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</si>
  <si>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</si>
  <si>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</si>
  <si>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</si>
  <si>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</si>
  <si>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</si>
  <si>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</si>
  <si>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</si>
  <si>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</si>
  <si>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</si>
  <si>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</si>
  <si>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</si>
  <si>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</si>
  <si>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</si>
  <si>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</si>
  <si>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</si>
  <si>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</si>
  <si>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</si>
  <si>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</si>
  <si>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</si>
  <si>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</si>
  <si>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</si>
  <si>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</si>
  <si>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</si>
  <si>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</si>
  <si>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</si>
  <si>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</si>
  <si>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</si>
  <si>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</si>
  <si>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</si>
  <si>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</si>
  <si>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</si>
  <si>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</si>
  <si>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</si>
  <si>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</si>
  <si>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</si>
  <si>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</si>
  <si>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</si>
  <si>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</si>
  <si>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</si>
  <si>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</si>
  <si>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</si>
  <si>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</si>
  <si>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</si>
  <si>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</si>
  <si>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</si>
  <si>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</si>
  <si>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</si>
  <si>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</si>
  <si>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</si>
  <si>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</si>
  <si>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</si>
  <si>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</si>
  <si>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</si>
  <si>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</si>
  <si>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</si>
  <si>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</si>
  <si>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</si>
  <si>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</si>
  <si>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</si>
  <si>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</si>
  <si>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</si>
  <si>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</si>
  <si>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</si>
  <si>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</si>
  <si>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</si>
  <si>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</si>
  <si>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</si>
  <si>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</si>
  <si>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</si>
  <si>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</si>
  <si>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</si>
  <si>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</si>
  <si>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</si>
  <si>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</si>
  <si>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</si>
  <si>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</si>
  <si>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</si>
  <si>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</si>
  <si>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</si>
  <si>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</si>
  <si>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</si>
  <si>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</si>
  <si>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</si>
  <si>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</si>
  <si>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</si>
  <si>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</si>
  <si>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</si>
  <si>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</si>
  <si>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</si>
  <si>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</si>
  <si>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</si>
  <si>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</si>
  <si>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</si>
  <si>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</si>
  <si>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</si>
  <si>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</si>
  <si>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</si>
  <si>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</si>
  <si>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</si>
  <si>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</si>
  <si>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</si>
  <si>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</si>
  <si>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</si>
  <si>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</si>
  <si>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</si>
  <si>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</si>
  <si>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</si>
  <si>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</si>
  <si>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</si>
  <si>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</si>
  <si>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</si>
  <si>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</si>
  <si>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</si>
  <si>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</si>
  <si>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</si>
  <si>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</si>
  <si>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</si>
  <si>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</si>
  <si>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</si>
  <si>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</si>
  <si>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</si>
  <si>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</si>
  <si>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</si>
  <si>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</si>
  <si>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</si>
  <si>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</si>
  <si>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</si>
  <si>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</si>
  <si>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</si>
  <si>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</si>
  <si>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</si>
  <si>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</si>
  <si>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</si>
  <si>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</si>
  <si>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</si>
  <si>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</si>
  <si>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</si>
  <si>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</si>
  <si>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</si>
  <si>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</si>
  <si>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</si>
  <si>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</si>
  <si>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</si>
  <si>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</si>
  <si>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</si>
  <si>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</si>
  <si>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</si>
  <si>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за адресою: м.Вишневе  вул. Святошинська 27 корпус 1</t>
  </si>
  <si>
    <t xml:space="preserve">          за адресою: м.Вишневе  вул. Святошнська 27 корпус 1</t>
  </si>
  <si>
    <t xml:space="preserve">                  </t>
  </si>
  <si>
    <t xml:space="preserve">                                Тариф на теплову енергію</t>
  </si>
  <si>
    <t xml:space="preserve">      мереж та теплопостачання"</t>
  </si>
  <si>
    <t xml:space="preserve">             за адресою: м.Вишневе  вул. Святошинська 27 корпус 1</t>
  </si>
  <si>
    <t>інше використання прибутку 4%</t>
  </si>
  <si>
    <t xml:space="preserve">   Відкоригований тариф  на виробництво теплової енергії</t>
  </si>
  <si>
    <t>Відкоригований тариф на постачання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</si>
</sst>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0" fontId="0" fillId="0" borderId="16" xfId="0" applyBorder="1"/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5">
            <v>177.429</v>
          </cell>
          <cell r="D5">
            <v>21.123999999999999</v>
          </cell>
          <cell r="S5">
            <v>0.55000000000000004</v>
          </cell>
          <cell r="T5">
            <v>0.06</v>
          </cell>
          <cell r="V5">
            <v>32.369999999999997</v>
          </cell>
          <cell r="W5">
            <v>3.85</v>
          </cell>
          <cell r="AE5">
            <v>2.59</v>
          </cell>
          <cell r="AF5">
            <v>0.31</v>
          </cell>
          <cell r="AH5">
            <v>6.86</v>
          </cell>
          <cell r="AI5">
            <v>0.82</v>
          </cell>
          <cell r="AN5">
            <v>4.25</v>
          </cell>
          <cell r="AO5">
            <v>0.51</v>
          </cell>
          <cell r="AT5">
            <v>22.01</v>
          </cell>
          <cell r="AU5">
            <v>2.62</v>
          </cell>
          <cell r="BC5">
            <v>13.11</v>
          </cell>
          <cell r="BD5">
            <v>1.55</v>
          </cell>
          <cell r="BI5">
            <v>3.26</v>
          </cell>
          <cell r="BJ5">
            <v>0.39</v>
          </cell>
          <cell r="BO5">
            <v>6.88</v>
          </cell>
          <cell r="BP5">
            <v>0.82</v>
          </cell>
          <cell r="BU5">
            <v>0</v>
          </cell>
          <cell r="BV5">
            <v>0</v>
          </cell>
          <cell r="CG5">
            <v>0</v>
          </cell>
          <cell r="CJ5">
            <v>7.59</v>
          </cell>
          <cell r="CK5">
            <v>0.9</v>
          </cell>
          <cell r="CZ5">
            <v>7.7574899999999998</v>
          </cell>
          <cell r="DB5">
            <v>196373.1</v>
          </cell>
          <cell r="DC5">
            <v>23381.07</v>
          </cell>
          <cell r="DK5">
            <v>10890.24</v>
          </cell>
          <cell r="DL5">
            <v>1303.1099999999999</v>
          </cell>
          <cell r="DR5">
            <v>461.89</v>
          </cell>
          <cell r="DS5">
            <v>44.87</v>
          </cell>
        </row>
        <row r="15">
          <cell r="CH15">
            <v>0</v>
          </cell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51" activePane="bottomRight" state="frozen"/>
      <selection pane="topRight" activeCell="I1" sqref="I1"/>
      <selection pane="bottomLeft" activeCell="A13" sqref="A13"/>
      <selection pane="bottomRight" activeCell="B74" sqref="B74:C74"/>
    </sheetView>
  </sheetViews>
  <sheetFormatPr defaultRowHeight="15"/>
  <cols>
    <col min="1" max="1" width="11.28515625" customWidth="1"/>
    <col min="2" max="2" width="56.5703125" customWidth="1"/>
    <col min="3" max="3" width="15.710937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570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563</v>
      </c>
      <c r="I9" s="307"/>
      <c r="J9" s="307"/>
      <c r="K9" s="307"/>
      <c r="L9" s="307"/>
      <c r="M9" s="308"/>
      <c r="N9" s="308"/>
      <c r="Z9" s="224" t="s">
        <v>1</v>
      </c>
    </row>
    <row r="10" spans="1:27" ht="44.25" customHeight="1">
      <c r="A10" s="295" t="s">
        <v>2</v>
      </c>
      <c r="B10" s="295" t="s">
        <v>4</v>
      </c>
      <c r="C10" s="296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7" t="s">
        <v>3</v>
      </c>
      <c r="B11" s="298"/>
      <c r="C11" s="298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9"/>
      <c r="B12" s="298"/>
      <c r="C12" s="298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9"/>
      <c r="B13" s="298"/>
      <c r="C13" s="298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9"/>
      <c r="B14" s="298"/>
      <c r="C14" s="298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318.26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284.41000000000003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33.85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33.85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233.05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208.27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24.78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24.78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219.75</v>
      </c>
      <c r="H19" s="219">
        <v>0</v>
      </c>
      <c r="I19" s="219">
        <v>0</v>
      </c>
      <c r="J19" s="219">
        <v>0</v>
      </c>
      <c r="K19" s="247">
        <f>ROUND('[1]Витрати 20 -21'!$DB$5/1000,2)</f>
        <v>196.37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23.38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20 -21'!$DC$5/1000,2)</f>
        <v>23.38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12.190000000000001</v>
      </c>
      <c r="H20" s="219">
        <v>0</v>
      </c>
      <c r="I20" s="219">
        <v>0</v>
      </c>
      <c r="J20" s="219">
        <v>0</v>
      </c>
      <c r="K20" s="247">
        <f>ROUND('[1]Витрати 20 -21'!$DK$5/1000,2)</f>
        <v>10.89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1.3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20 -21'!$DL$5/1000,2)</f>
        <v>1.3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0.5</v>
      </c>
      <c r="H22" s="219">
        <v>0</v>
      </c>
      <c r="I22" s="219">
        <v>0</v>
      </c>
      <c r="J22" s="219">
        <v>0</v>
      </c>
      <c r="K22" s="247">
        <f>ROUND('[1]Витрати 20 -21'!$DR$5/1000,2)</f>
        <v>0.46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0.04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20 -21'!$DS$5/1000,2)</f>
        <v>0.04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0.6100000000000001</v>
      </c>
      <c r="H23" s="219"/>
      <c r="I23" s="219"/>
      <c r="J23" s="219"/>
      <c r="K23" s="326">
        <f>ROUND('[1]Витрати 20 -21'!$S$5,2)</f>
        <v>0.55000000000000004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0.06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20 -21'!$T$5,2)</f>
        <v>0.06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36.22</v>
      </c>
      <c r="H25" s="219"/>
      <c r="I25" s="219"/>
      <c r="J25" s="219"/>
      <c r="K25" s="326">
        <f>ROUND('[1]Витрати 20 -21'!$V$5,2)</f>
        <v>32.369999999999997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3.85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20 -21'!$W$5,2)</f>
        <v>3.85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18.55</v>
      </c>
      <c r="H27" s="219">
        <v>0</v>
      </c>
      <c r="I27" s="219">
        <v>0</v>
      </c>
      <c r="J27" s="219">
        <v>0</v>
      </c>
      <c r="K27" s="219">
        <f>ROUND(K28+K29+K30+K31,2)</f>
        <v>16.57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1.98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1.98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7.97</v>
      </c>
      <c r="H28" s="219"/>
      <c r="I28" s="219"/>
      <c r="J28" s="219"/>
      <c r="K28" s="311">
        <f>ROUND(K25*22%,2)</f>
        <v>7.12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0.85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0.85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2.9</v>
      </c>
      <c r="H30" s="219">
        <v>0</v>
      </c>
      <c r="I30" s="219">
        <v>0</v>
      </c>
      <c r="J30" s="219">
        <v>0</v>
      </c>
      <c r="K30" s="247">
        <f>ROUND('[1]Витрати 20 -21'!$AE$5,2)</f>
        <v>2.59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0.31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20 -21'!$AF$5,2)</f>
        <v>0.31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7.6800000000000006</v>
      </c>
      <c r="H31" s="219">
        <v>0</v>
      </c>
      <c r="I31" s="219">
        <v>0</v>
      </c>
      <c r="J31" s="219">
        <v>0</v>
      </c>
      <c r="K31" s="247">
        <f>ROUND('[1]Витрати 20 -21'!$AH$5,2)</f>
        <v>6.86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0.82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20 -21'!$AI$5,2)</f>
        <v>0.82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30.439999999999998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27.2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3.24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3.24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4.76</v>
      </c>
      <c r="H33" s="219">
        <v>0</v>
      </c>
      <c r="I33" s="219">
        <v>0</v>
      </c>
      <c r="J33" s="219">
        <v>0</v>
      </c>
      <c r="K33" s="247">
        <f>ROUND('[1]Витрати 20 -21'!$AN$5,2)</f>
        <v>4.25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0.51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20 -21'!$AO$5,2)</f>
        <v>0.51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1.05</v>
      </c>
      <c r="H34" s="311">
        <v>0</v>
      </c>
      <c r="I34" s="311">
        <v>0</v>
      </c>
      <c r="J34" s="311">
        <v>0</v>
      </c>
      <c r="K34" s="313">
        <f>ROUND(K33*22%,2)</f>
        <v>0.94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0.11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0.11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24.630000000000003</v>
      </c>
      <c r="H36" s="219">
        <v>0</v>
      </c>
      <c r="I36" s="219">
        <v>0</v>
      </c>
      <c r="J36" s="219">
        <v>0</v>
      </c>
      <c r="K36" s="247">
        <f>ROUND('[1]Витрати 20 -21'!$AT$5,2)</f>
        <v>22.01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2.62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20 -21'!$AU$5,2)</f>
        <v>2.62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20.91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18.690000000000001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2.2200000000000002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2.2200000000000002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14.24</v>
      </c>
      <c r="H38" s="219">
        <v>0</v>
      </c>
      <c r="I38" s="219">
        <v>0</v>
      </c>
      <c r="J38" s="219">
        <v>0</v>
      </c>
      <c r="K38" s="247">
        <f>ROUND('[1]Витрати 20 -21'!$BC$5-'Додаток 3'!H25,2)</f>
        <v>12.73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1.51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20 -21'!$BD$5-'Додаток 3'!I25,2)</f>
        <v>1.51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3.13</v>
      </c>
      <c r="H39" s="311">
        <v>0</v>
      </c>
      <c r="I39" s="311">
        <v>0</v>
      </c>
      <c r="J39" s="311">
        <v>0</v>
      </c>
      <c r="K39" s="313">
        <f>ROUND(K38*22%,2)</f>
        <v>2.8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0.33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0.33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3.54</v>
      </c>
      <c r="H41" s="219">
        <v>0</v>
      </c>
      <c r="I41" s="219">
        <v>0</v>
      </c>
      <c r="J41" s="219">
        <v>0</v>
      </c>
      <c r="K41" s="247">
        <f>ROUND('[1]Витрати 20 -21'!$BI$5-'Додаток 3'!H27,2)</f>
        <v>3.16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0.38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20 -21'!$BJ$5-'Додаток 3'!I27,2)</f>
        <v>0.38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26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27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339.17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303.10000000000002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36.07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36.07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26.59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23.77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2.82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2.82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4.79</v>
      </c>
      <c r="H52" s="259" t="s">
        <v>46</v>
      </c>
      <c r="I52" s="259" t="s">
        <v>46</v>
      </c>
      <c r="J52" s="219">
        <v>0</v>
      </c>
      <c r="K52" s="182">
        <f>ROUND(18%*(K53+K54+K55+K57)/82%,2)</f>
        <v>4.28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0.51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0.51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8.24</v>
      </c>
      <c r="H54" s="259" t="s">
        <v>46</v>
      </c>
      <c r="I54" s="259" t="s">
        <v>46</v>
      </c>
      <c r="J54" s="219">
        <v>0</v>
      </c>
      <c r="K54" s="247">
        <f>ROUND('[1]Витрати 20 -21'!$CJ$5-'Додаток 3'!H39,2)</f>
        <v>7.37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0.87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20 -21'!$CK$5-'Додаток 3'!I39,2)</f>
        <v>0.87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20 -21'!$CG$5-'Додаток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20 -21'!$CH$15-'Додаток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569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13.559999999999999</v>
      </c>
      <c r="H57" s="259" t="s">
        <v>46</v>
      </c>
      <c r="I57" s="259" t="s">
        <v>46</v>
      </c>
      <c r="J57" s="219">
        <v>0</v>
      </c>
      <c r="K57" s="182">
        <f>ROUND(K49*4%,2)</f>
        <v>12.12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1.44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1.44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365.76</v>
      </c>
      <c r="H58" s="219">
        <v>0</v>
      </c>
      <c r="I58" s="219">
        <v>0</v>
      </c>
      <c r="J58" s="219">
        <v>0</v>
      </c>
      <c r="K58" s="219">
        <f>ROUND(K49+K51,2)</f>
        <v>326.87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38.89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38.89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1842.1277945938868</v>
      </c>
      <c r="H59" s="219">
        <v>0</v>
      </c>
      <c r="I59" s="219">
        <v>0</v>
      </c>
      <c r="J59" s="219">
        <v>0</v>
      </c>
      <c r="K59" s="219">
        <f>ROUND(K58/K62*1000,2)</f>
        <v>1842.26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1841.03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1841.03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1106.7573897145851</v>
      </c>
      <c r="H60" s="219">
        <v>0</v>
      </c>
      <c r="I60" s="219">
        <v>0</v>
      </c>
      <c r="J60" s="219">
        <v>0</v>
      </c>
      <c r="K60" s="219">
        <f>ROUND(K19/K62*1000,2)</f>
        <v>1106.75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1106.8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1106.8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735.37040487930176</v>
      </c>
      <c r="H61" s="219">
        <v>0</v>
      </c>
      <c r="I61" s="219">
        <v>0</v>
      </c>
      <c r="J61" s="219">
        <v>0</v>
      </c>
      <c r="K61" s="219">
        <f>ROUND(K59-K60,2)</f>
        <v>735.51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734.23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734.23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80">
        <f t="shared" si="46"/>
        <v>198.553</v>
      </c>
      <c r="H62" s="219">
        <v>0</v>
      </c>
      <c r="I62" s="219">
        <v>0</v>
      </c>
      <c r="J62" s="219">
        <v>0</v>
      </c>
      <c r="K62" s="267">
        <f>ROUND('[1]Витрати 20 -21'!$C$5,3)</f>
        <v>177.429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80">
        <f t="shared" si="10"/>
        <v>21.123999999999999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20 -21'!$D$5,3)</f>
        <v>21.123999999999999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80">
        <f t="shared" si="46"/>
        <v>198.553</v>
      </c>
      <c r="H67" s="219">
        <f>H62</f>
        <v>0</v>
      </c>
      <c r="I67" s="219">
        <f>I62</f>
        <v>0</v>
      </c>
      <c r="J67" s="219">
        <f>J62</f>
        <v>0</v>
      </c>
      <c r="K67" s="280">
        <f>K62</f>
        <v>177.429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80">
        <f>S62</f>
        <v>21.123999999999999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80">
        <f>AA62</f>
        <v>21.123999999999999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1708.2088913287637</v>
      </c>
      <c r="H68" s="219">
        <v>0</v>
      </c>
      <c r="I68" s="219">
        <v>0</v>
      </c>
      <c r="J68" s="219">
        <v>0</v>
      </c>
      <c r="K68" s="219">
        <f>ROUND(K49/K67*1000,2)</f>
        <v>1708.29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1707.54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1707.54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3" t="s">
        <v>558</v>
      </c>
      <c r="C75" s="279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A4" sqref="A4:G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571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564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4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300" t="s">
        <v>69</v>
      </c>
      <c r="B11" s="301" t="s">
        <v>4</v>
      </c>
      <c r="C11" s="302" t="s">
        <v>5</v>
      </c>
      <c r="D11" s="303" t="s">
        <v>16</v>
      </c>
      <c r="E11" s="303" t="s">
        <v>17</v>
      </c>
      <c r="F11" s="303" t="s">
        <v>18</v>
      </c>
      <c r="G11" s="304" t="s">
        <v>554</v>
      </c>
      <c r="H11" s="305" t="s">
        <v>555</v>
      </c>
      <c r="I11" s="306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272">
        <v>8</v>
      </c>
      <c r="I12" s="272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5">
        <f>H14+H15+H16+H20</f>
        <v>0</v>
      </c>
      <c r="I13" s="273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3">
        <v>0</v>
      </c>
      <c r="I14" s="273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3">
        <v>0</v>
      </c>
      <c r="I15" s="273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3">
        <f>H17+H18+H19</f>
        <v>0</v>
      </c>
      <c r="I16" s="273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3">
        <v>0</v>
      </c>
      <c r="I17" s="273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3">
        <v>0</v>
      </c>
      <c r="I18" s="273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3">
        <v>0</v>
      </c>
      <c r="I19" s="273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3">
        <f>H21+H22+H23</f>
        <v>0</v>
      </c>
      <c r="I20" s="277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3">
        <v>0</v>
      </c>
      <c r="I21" s="273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3">
        <v>0</v>
      </c>
      <c r="I22" s="273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3">
        <v>0</v>
      </c>
      <c r="I23" s="277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0.62000000000000011</v>
      </c>
      <c r="H24" s="273">
        <f>ROUND(H25+H26+H27,2)</f>
        <v>0.56000000000000005</v>
      </c>
      <c r="I24" s="273">
        <f>ROUND(I25+I26+I27,2)</f>
        <v>0.06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0.42</v>
      </c>
      <c r="H25" s="274">
        <f>ROUND('[1]Витрати 20 -21'!$BC$5*'[1]Витрати 20 -21'!$BL$29%,2)</f>
        <v>0.38</v>
      </c>
      <c r="I25" s="274">
        <f>ROUND('[1]Витрати 20 -21'!$BD$5*'[1]Витрати 20 -21'!$BM$29%,2)</f>
        <v>0.04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0.09</v>
      </c>
      <c r="H26" s="273">
        <f>ROUND(H25*22%,2)</f>
        <v>0.08</v>
      </c>
      <c r="I26" s="273">
        <f>ROUND(I25*22%,2)</f>
        <v>0.01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0.11</v>
      </c>
      <c r="H27" s="274">
        <f>ROUND('[1]Витрати 20 -21'!$BI$5*'[1]Витрати 20 -21'!$BL$29%,2)</f>
        <v>0.1</v>
      </c>
      <c r="I27" s="278">
        <f>ROUND('[1]Витрати 20 -21'!$BJ$5*'[1]Витрати 20 -21'!$BM$29%,2)</f>
        <v>0.01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9.39</v>
      </c>
      <c r="H28" s="273">
        <f>ROUND(H29+H30+H31,2)</f>
        <v>8.39</v>
      </c>
      <c r="I28" s="273">
        <f>ROUND(I29+I30+I31,2)</f>
        <v>1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7.7</v>
      </c>
      <c r="H29" s="274">
        <f>ROUND('[1]Витрати 20 -21'!$BO$5,2)</f>
        <v>6.88</v>
      </c>
      <c r="I29" s="274">
        <f>ROUND('[1]Витрати 20 -21'!$BP$5,2)</f>
        <v>0.82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1.69</v>
      </c>
      <c r="H30" s="273">
        <f>ROUND(H29*22%,2)</f>
        <v>1.51</v>
      </c>
      <c r="I30" s="273">
        <f>ROUND(I29*22%,2)</f>
        <v>0.18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4">
        <f>ROUND('[1]Витрати 20 -21'!$BU$5,2)</f>
        <v>0</v>
      </c>
      <c r="I31" s="274">
        <f>ROUND('[1]Витрати 20 -21'!$BV$5,2)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3">
        <v>0</v>
      </c>
      <c r="I32" s="273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3">
        <v>0</v>
      </c>
      <c r="I33" s="273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10.01</v>
      </c>
      <c r="H34" s="273">
        <f>ROUND(H13+H24+H28+H32+H33,2)</f>
        <v>8.9499999999999993</v>
      </c>
      <c r="I34" s="273">
        <f>ROUND(I13+I24+I28+I32+I33,2)</f>
        <v>1.06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3">
        <v>0</v>
      </c>
      <c r="I35" s="273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0.79999999999999993</v>
      </c>
      <c r="H36" s="273">
        <f>ROUND(H37+H38+H39+H40+H41,2)</f>
        <v>0.71</v>
      </c>
      <c r="I36" s="273">
        <f>ROUND(I37+I38+I39+I40+I41,2)</f>
        <v>0.09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0.15</v>
      </c>
      <c r="H37" s="276">
        <f>ROUND(18%*(H38+H39+H40+H41)/82%,2)</f>
        <v>0.13</v>
      </c>
      <c r="I37" s="276">
        <f>ROUND(18%*(I38+I39+I40+I41)/82%,2)</f>
        <v>0.02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5">
        <v>0</v>
      </c>
      <c r="I38" s="277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0.25</v>
      </c>
      <c r="H39" s="274">
        <f>ROUND('[1]Витрати 20 -21'!$CJ$5*'[1]Витрати 20 -21'!$BL$29%,2)</f>
        <v>0.22</v>
      </c>
      <c r="I39" s="274">
        <f>ROUND('[1]Витрати 20 -21'!$CK$5*'[1]Витрати 20 -21'!$BM$29%,2)</f>
        <v>0.03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4">
        <f>ROUND('[1]Витрати 20 -21'!$CG$5*'[1]Витрати 20 -21'!$BL$29%,2)</f>
        <v>0</v>
      </c>
      <c r="I40" s="274">
        <f>ROUND('[1]Витрати 20 -21'!$CH$15*'[1]Витрати 20 -21'!$BM$29%,2)</f>
        <v>0</v>
      </c>
    </row>
    <row r="41" spans="1:9" ht="46.5" customHeight="1" thickBot="1">
      <c r="A41" s="6">
        <v>8.5</v>
      </c>
      <c r="B41" s="192" t="s">
        <v>569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0.39999999999999997</v>
      </c>
      <c r="H41" s="273">
        <f>ROUND(H34*4%,2)</f>
        <v>0.36</v>
      </c>
      <c r="I41" s="273">
        <f>ROUND(I34*4%,2)</f>
        <v>0.04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10.81</v>
      </c>
      <c r="H42" s="273">
        <f>ROUND(H34+H36,2)</f>
        <v>9.66</v>
      </c>
      <c r="I42" s="273">
        <f>ROUND(I34+I36,2)</f>
        <v>1.1499999999999999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54.443901628280614</v>
      </c>
      <c r="H43" s="273">
        <f>ROUND(H42/H44*1000,2)</f>
        <v>54.44</v>
      </c>
      <c r="I43" s="273">
        <f>ROUND(I42/I44*1000,2)</f>
        <v>54.44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3">
        <f>H44+I44</f>
        <v>198.553</v>
      </c>
      <c r="H44" s="282">
        <f>ROUND('Додаток 1'!K67,3)</f>
        <v>177.429</v>
      </c>
      <c r="I44" s="282">
        <f>ROUND('Додаток 1'!AA67,3)</f>
        <v>21.123999999999999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177.43</v>
      </c>
      <c r="H45" s="273">
        <f>ROUND(H44,2)</f>
        <v>177.43</v>
      </c>
      <c r="I45" s="273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3">
        <v>0</v>
      </c>
      <c r="I46" s="273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3">
        <v>0</v>
      </c>
      <c r="I47" s="273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3">
        <f t="shared" si="1"/>
        <v>21.123999999999999</v>
      </c>
      <c r="H48" s="273">
        <v>0</v>
      </c>
      <c r="I48" s="281">
        <f>I44</f>
        <v>21.123999999999999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topLeftCell="A16" zoomScale="60" workbookViewId="0">
      <selection activeCell="K24" sqref="K2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4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5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4" t="s">
        <v>505</v>
      </c>
      <c r="G4" s="14"/>
      <c r="H4" s="29"/>
      <c r="I4" s="225" t="s">
        <v>557</v>
      </c>
      <c r="J4" s="225"/>
      <c r="K4" s="225"/>
    </row>
    <row r="5" spans="1:12">
      <c r="A5" s="286"/>
    </row>
    <row r="6" spans="1:12" ht="25.5" customHeight="1">
      <c r="A6" s="375" t="s">
        <v>565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566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7"/>
      <c r="B8" s="229"/>
      <c r="C8" s="229"/>
      <c r="D8" s="234" t="s">
        <v>568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8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8"/>
      <c r="B10" s="377"/>
      <c r="C10" s="377"/>
      <c r="D10" s="380"/>
      <c r="E10" s="381"/>
      <c r="F10" s="377"/>
      <c r="G10" s="382" t="s">
        <v>82</v>
      </c>
      <c r="H10" s="384"/>
      <c r="I10" s="303" t="s">
        <v>83</v>
      </c>
      <c r="J10" s="303" t="s">
        <v>91</v>
      </c>
      <c r="K10" s="303" t="s">
        <v>15</v>
      </c>
      <c r="L10" s="5"/>
    </row>
    <row r="11" spans="1:12" ht="19.5" thickBot="1">
      <c r="A11" s="288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8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1842.13</v>
      </c>
      <c r="G12" s="389">
        <f>ROUND('Додаток 1'!K59,2)</f>
        <v>1842.26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1841.03</v>
      </c>
      <c r="L12" s="256"/>
    </row>
    <row r="13" spans="1:12" ht="44.25" customHeight="1" thickBot="1">
      <c r="A13" s="288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1708.2088913287637</v>
      </c>
      <c r="G13" s="393">
        <f>('Додаток 1'!K49)/G37*1000</f>
        <v>1708.2889493825701</v>
      </c>
      <c r="H13" s="394"/>
      <c r="I13" s="219">
        <v>0</v>
      </c>
      <c r="J13" s="219">
        <v>0</v>
      </c>
      <c r="K13" s="221">
        <f>('Додаток 1'!AA49)/K37*1000</f>
        <v>1707.5364514296537</v>
      </c>
      <c r="L13" s="5"/>
    </row>
    <row r="14" spans="1:12" ht="39" customHeight="1" thickBot="1">
      <c r="A14" s="288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8"/>
      <c r="B15" s="32">
        <v>1.3</v>
      </c>
      <c r="C15" s="192" t="s">
        <v>95</v>
      </c>
      <c r="D15" s="391" t="s">
        <v>53</v>
      </c>
      <c r="E15" s="392"/>
      <c r="F15" s="219">
        <f>F12-F13</f>
        <v>133.92110867123642</v>
      </c>
      <c r="G15" s="397">
        <f>G12-G13</f>
        <v>133.97105061742991</v>
      </c>
      <c r="H15" s="398"/>
      <c r="I15" s="219">
        <v>0</v>
      </c>
      <c r="J15" s="219">
        <v>0</v>
      </c>
      <c r="K15" s="219">
        <f>K12-K13</f>
        <v>133.49354857034632</v>
      </c>
      <c r="L15" s="261"/>
    </row>
    <row r="16" spans="1:12" s="245" customFormat="1" ht="47.25" customHeight="1" thickBot="1">
      <c r="A16" s="288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8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8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8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8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54.44</v>
      </c>
      <c r="G20" s="389">
        <f>ROUND('Додаток 3'!H43,2)</f>
        <v>54.44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54.44</v>
      </c>
      <c r="L20" s="5"/>
    </row>
    <row r="21" spans="1:12" ht="45" customHeight="1" thickBot="1">
      <c r="A21" s="288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50.414750721469836</v>
      </c>
      <c r="G21" s="393">
        <f>('Додаток 3'!H34)/G37*1000</f>
        <v>50.442712296186073</v>
      </c>
      <c r="H21" s="394"/>
      <c r="I21" s="219">
        <v>0</v>
      </c>
      <c r="J21" s="219">
        <v>0</v>
      </c>
      <c r="K21" s="219">
        <f>('Додаток 3'!I34)/K37*1000</f>
        <v>50.179890172315851</v>
      </c>
      <c r="L21" s="5"/>
    </row>
    <row r="22" spans="1:12" ht="33" customHeight="1" thickBot="1">
      <c r="A22" s="288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8"/>
      <c r="B23" s="32">
        <v>3.3</v>
      </c>
      <c r="C23" s="192" t="s">
        <v>95</v>
      </c>
      <c r="D23" s="391" t="s">
        <v>53</v>
      </c>
      <c r="E23" s="392"/>
      <c r="F23" s="219">
        <f>F20-F21</f>
        <v>4.0252492785301612</v>
      </c>
      <c r="G23" s="397">
        <f>G20-G21</f>
        <v>3.9972877038139245</v>
      </c>
      <c r="H23" s="398"/>
      <c r="I23" s="219">
        <v>0</v>
      </c>
      <c r="J23" s="219">
        <v>0</v>
      </c>
      <c r="K23" s="219">
        <f>K20-K21</f>
        <v>4.2601098276841469</v>
      </c>
      <c r="L23" s="5"/>
    </row>
    <row r="24" spans="1:12" s="245" customFormat="1" ht="40.5" customHeight="1" thickBot="1">
      <c r="A24" s="288"/>
      <c r="B24" s="254">
        <v>4</v>
      </c>
      <c r="C24" s="255" t="s">
        <v>100</v>
      </c>
      <c r="D24" s="387" t="s">
        <v>53</v>
      </c>
      <c r="E24" s="388"/>
      <c r="F24" s="244">
        <f>F12+F16+F20</f>
        <v>1896.5700000000002</v>
      </c>
      <c r="G24" s="389">
        <f>G12+G16+G20</f>
        <v>1896.7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1895.47</v>
      </c>
      <c r="L24" s="262"/>
    </row>
    <row r="25" spans="1:12" ht="39" customHeight="1" thickBot="1">
      <c r="A25" s="288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1758.6236420502335</v>
      </c>
      <c r="G25" s="399">
        <f>G13+G17+G21</f>
        <v>1758.7316616787562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1757.7163416019696</v>
      </c>
      <c r="L25" s="261"/>
    </row>
    <row r="26" spans="1:12" ht="40.5" customHeight="1" thickBot="1">
      <c r="A26" s="288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8"/>
      <c r="B27" s="32">
        <v>4.3</v>
      </c>
      <c r="C27" s="192" t="s">
        <v>95</v>
      </c>
      <c r="D27" s="391" t="s">
        <v>53</v>
      </c>
      <c r="E27" s="392"/>
      <c r="F27" s="182">
        <f>F15+F19+F23</f>
        <v>137.94635794976659</v>
      </c>
      <c r="G27" s="399">
        <f>G15+G19+G23</f>
        <v>137.96833832124383</v>
      </c>
      <c r="H27" s="400"/>
      <c r="I27" s="182">
        <v>0</v>
      </c>
      <c r="J27" s="182">
        <f t="shared" ref="J27" si="6">J24-J25-J26</f>
        <v>0</v>
      </c>
      <c r="K27" s="182">
        <f>K15+K19+K23</f>
        <v>137.75365839803047</v>
      </c>
      <c r="L27" s="5"/>
    </row>
    <row r="28" spans="1:12" ht="83.25" customHeight="1" thickBot="1">
      <c r="A28" s="288"/>
      <c r="B28" s="32">
        <v>5</v>
      </c>
      <c r="C28" s="192" t="s">
        <v>102</v>
      </c>
      <c r="D28" s="391" t="s">
        <v>21</v>
      </c>
      <c r="E28" s="392"/>
      <c r="F28" s="182">
        <f>F29+F30+F31</f>
        <v>376.57</v>
      </c>
      <c r="G28" s="401">
        <f>G29+G30+G31</f>
        <v>336.53000000000003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40.040000000000006</v>
      </c>
      <c r="L28" s="5"/>
    </row>
    <row r="29" spans="1:12" ht="60.75" customHeight="1" thickBot="1">
      <c r="A29" s="288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349.18</v>
      </c>
      <c r="G29" s="403">
        <f>ROUND('Додаток 1'!K49+'Додаток 3'!H34,2)</f>
        <v>312.05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37.130000000000003</v>
      </c>
      <c r="L29" s="5"/>
    </row>
    <row r="30" spans="1:12" ht="24.75" customHeight="1" thickBot="1">
      <c r="A30" s="288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8"/>
      <c r="B31" s="32">
        <v>5.3</v>
      </c>
      <c r="C31" s="192" t="s">
        <v>104</v>
      </c>
      <c r="D31" s="391" t="s">
        <v>21</v>
      </c>
      <c r="E31" s="392"/>
      <c r="F31" s="263">
        <f>G31+K31</f>
        <v>27.39</v>
      </c>
      <c r="G31" s="403">
        <f>ROUND('Додаток 1'!K51+'Додаток 3'!H36,2)</f>
        <v>24.48</v>
      </c>
      <c r="H31" s="404"/>
      <c r="I31" s="263">
        <v>0</v>
      </c>
      <c r="J31" s="263">
        <v>0</v>
      </c>
      <c r="K31" s="257">
        <f>ROUND('Додаток 1'!AA51+'Додаток 3'!I36,2)</f>
        <v>2.91</v>
      </c>
      <c r="L31" s="5"/>
    </row>
    <row r="32" spans="1:12" ht="133.5" customHeight="1" thickBot="1">
      <c r="A32" s="288"/>
      <c r="B32" s="32">
        <v>6</v>
      </c>
      <c r="C32" s="192" t="s">
        <v>105</v>
      </c>
      <c r="D32" s="391" t="s">
        <v>21</v>
      </c>
      <c r="E32" s="392"/>
      <c r="F32" s="182">
        <f>F33+F34+F35</f>
        <v>376.57</v>
      </c>
      <c r="G32" s="399">
        <f t="shared" ref="G32:K32" si="8">G28</f>
        <v>336.53000000000003</v>
      </c>
      <c r="H32" s="400"/>
      <c r="I32" s="182">
        <v>0</v>
      </c>
      <c r="J32" s="182">
        <v>0</v>
      </c>
      <c r="K32" s="182">
        <f t="shared" si="8"/>
        <v>40.040000000000006</v>
      </c>
      <c r="L32" s="5"/>
    </row>
    <row r="33" spans="1:12" ht="77.25" customHeight="1" thickBot="1">
      <c r="A33" s="288"/>
      <c r="B33" s="32">
        <v>6.1</v>
      </c>
      <c r="C33" s="192" t="s">
        <v>103</v>
      </c>
      <c r="D33" s="391" t="s">
        <v>21</v>
      </c>
      <c r="E33" s="392"/>
      <c r="F33" s="182">
        <f>F29</f>
        <v>349.18</v>
      </c>
      <c r="G33" s="399">
        <f t="shared" ref="G33:K33" si="9">G29</f>
        <v>312.05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37.130000000000003</v>
      </c>
      <c r="L33" s="5"/>
    </row>
    <row r="34" spans="1:12" ht="33" customHeight="1" thickBot="1">
      <c r="A34" s="288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8"/>
      <c r="B35" s="32">
        <v>6.3</v>
      </c>
      <c r="C35" s="192" t="s">
        <v>104</v>
      </c>
      <c r="D35" s="391" t="s">
        <v>21</v>
      </c>
      <c r="E35" s="392"/>
      <c r="F35" s="182">
        <f>F31</f>
        <v>27.39</v>
      </c>
      <c r="G35" s="399">
        <f t="shared" ref="G35:K35" si="10">G32-G33-G34</f>
        <v>24.480000000000018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2.9100000000000037</v>
      </c>
      <c r="L35" s="5"/>
    </row>
    <row r="36" spans="1:12" ht="79.5" customHeight="1" thickBot="1">
      <c r="A36" s="288"/>
      <c r="B36" s="32">
        <v>7</v>
      </c>
      <c r="C36" s="192" t="s">
        <v>106</v>
      </c>
      <c r="D36" s="391" t="s">
        <v>57</v>
      </c>
      <c r="E36" s="392"/>
      <c r="F36" s="190">
        <f>F37+F38</f>
        <v>198.553</v>
      </c>
      <c r="G36" s="407">
        <f t="shared" ref="G36:K36" si="11">G37+G38</f>
        <v>177.429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21.123999999999999</v>
      </c>
      <c r="L36" s="5"/>
    </row>
    <row r="37" spans="1:12" ht="52.5" customHeight="1" thickBot="1">
      <c r="A37" s="288"/>
      <c r="B37" s="32">
        <v>7.1</v>
      </c>
      <c r="C37" s="192" t="s">
        <v>107</v>
      </c>
      <c r="D37" s="391" t="s">
        <v>57</v>
      </c>
      <c r="E37" s="392"/>
      <c r="F37" s="190">
        <f>G37+K37</f>
        <v>198.553</v>
      </c>
      <c r="G37" s="409">
        <f>'Додаток 1'!K67</f>
        <v>177.429</v>
      </c>
      <c r="H37" s="410"/>
      <c r="I37" s="190">
        <v>0</v>
      </c>
      <c r="J37" s="190">
        <v>0</v>
      </c>
      <c r="K37" s="280">
        <f>'Додаток 1'!AA67</f>
        <v>21.123999999999999</v>
      </c>
      <c r="L37" s="5"/>
    </row>
    <row r="38" spans="1:12" ht="42.75" customHeight="1" thickBot="1">
      <c r="A38" s="288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8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8"/>
      <c r="B40" s="32">
        <v>8.1</v>
      </c>
      <c r="C40" s="192" t="s">
        <v>110</v>
      </c>
      <c r="D40" s="391" t="s">
        <v>111</v>
      </c>
      <c r="E40" s="392"/>
      <c r="F40" s="263">
        <f>F15/F13*100</f>
        <v>7.8398554972432715</v>
      </c>
      <c r="G40" s="401">
        <f t="shared" ref="G40:K40" si="12">G15/G13*100</f>
        <v>7.8424115935334768</v>
      </c>
      <c r="H40" s="402"/>
      <c r="I40" s="263">
        <v>0</v>
      </c>
      <c r="J40" s="263">
        <v>0</v>
      </c>
      <c r="K40" s="263">
        <f t="shared" si="12"/>
        <v>7.8179032991405464</v>
      </c>
      <c r="L40" s="5"/>
    </row>
    <row r="41" spans="1:12" ht="33" customHeight="1" thickBot="1">
      <c r="A41" s="288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8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7.9842689310689217</v>
      </c>
      <c r="G42" s="419">
        <f t="shared" ref="G42:K42" si="13">G23/G21*100</f>
        <v>7.9244107262569932</v>
      </c>
      <c r="H42" s="420"/>
      <c r="I42" s="264">
        <v>0</v>
      </c>
      <c r="J42" s="264">
        <v>0</v>
      </c>
      <c r="K42" s="264">
        <f t="shared" si="13"/>
        <v>8.4896754716981047</v>
      </c>
      <c r="L42" s="5"/>
    </row>
    <row r="43" spans="1:12" ht="25.5" customHeight="1" thickBot="1">
      <c r="A43" s="288"/>
      <c r="B43" s="32">
        <v>8.4</v>
      </c>
      <c r="C43" s="227" t="s">
        <v>114</v>
      </c>
      <c r="D43" s="421" t="s">
        <v>111</v>
      </c>
      <c r="E43" s="422"/>
      <c r="F43" s="265">
        <f>F27/F25*100</f>
        <v>7.8439954206999269</v>
      </c>
      <c r="G43" s="423">
        <f t="shared" ref="G43:K43" si="14">G27/G25*100</f>
        <v>7.8447634353468896</v>
      </c>
      <c r="H43" s="424"/>
      <c r="I43" s="265">
        <v>0</v>
      </c>
      <c r="J43" s="265">
        <v>0</v>
      </c>
      <c r="K43" s="265">
        <f t="shared" si="14"/>
        <v>7.8370812819822113</v>
      </c>
      <c r="L43" s="5"/>
    </row>
    <row r="44" spans="1:12" ht="24.75" customHeight="1">
      <c r="A44" s="288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9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567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90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1"/>
    </row>
    <row r="51" spans="1:1" ht="15.75">
      <c r="A51" s="292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2021-08-26T14:49:04Z</cp:lastPrinted>
  <dcterms:created xsi:type="dcterms:W3CDTF">2020-02-19T15:30:08Z</dcterms:created>
  <dcterms:modified xsi:type="dcterms:W3CDTF">2021-08-26T14:50:11Z</dcterms:modified>
</cp:coreProperties>
</file>